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<sst xmlns="http://schemas.openxmlformats.org/spreadsheetml/2006/main" count="277" uniqueCount="141">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</sst>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6" t="s">
        <v>139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85"/>
      <c r="S1" s="86"/>
    </row>
    <row r="2" spans="2:19" s="1" customFormat="1" ht="15.75" customHeight="1">
      <c r="B2" s="237"/>
      <c r="C2" s="237"/>
      <c r="D2" s="23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8"/>
      <c r="B3" s="240"/>
      <c r="C3" s="241" t="s">
        <v>0</v>
      </c>
      <c r="D3" s="242" t="s">
        <v>138</v>
      </c>
      <c r="E3" s="31"/>
      <c r="F3" s="243" t="s">
        <v>26</v>
      </c>
      <c r="G3" s="244"/>
      <c r="H3" s="244"/>
      <c r="I3" s="244"/>
      <c r="J3" s="245"/>
      <c r="K3" s="82"/>
      <c r="L3" s="82"/>
      <c r="M3" s="82"/>
      <c r="N3" s="246" t="s">
        <v>132</v>
      </c>
      <c r="O3" s="249" t="s">
        <v>136</v>
      </c>
      <c r="P3" s="249"/>
      <c r="Q3" s="249"/>
      <c r="R3" s="249"/>
      <c r="S3" s="249"/>
    </row>
    <row r="4" spans="1:19" ht="22.5" customHeight="1">
      <c r="A4" s="238"/>
      <c r="B4" s="240"/>
      <c r="C4" s="241"/>
      <c r="D4" s="242"/>
      <c r="E4" s="250" t="s">
        <v>137</v>
      </c>
      <c r="F4" s="252" t="s">
        <v>33</v>
      </c>
      <c r="G4" s="254" t="s">
        <v>133</v>
      </c>
      <c r="H4" s="247" t="s">
        <v>134</v>
      </c>
      <c r="I4" s="254" t="s">
        <v>125</v>
      </c>
      <c r="J4" s="247" t="s">
        <v>126</v>
      </c>
      <c r="K4" s="84" t="s">
        <v>128</v>
      </c>
      <c r="L4" s="202" t="s">
        <v>111</v>
      </c>
      <c r="M4" s="89" t="s">
        <v>63</v>
      </c>
      <c r="N4" s="247"/>
      <c r="O4" s="256" t="s">
        <v>140</v>
      </c>
      <c r="P4" s="254" t="s">
        <v>49</v>
      </c>
      <c r="Q4" s="258" t="s">
        <v>48</v>
      </c>
      <c r="R4" s="90" t="s">
        <v>64</v>
      </c>
      <c r="S4" s="91" t="s">
        <v>63</v>
      </c>
    </row>
    <row r="5" spans="1:19" ht="67.5" customHeight="1">
      <c r="A5" s="239"/>
      <c r="B5" s="240"/>
      <c r="C5" s="241"/>
      <c r="D5" s="242"/>
      <c r="E5" s="251"/>
      <c r="F5" s="253"/>
      <c r="G5" s="255"/>
      <c r="H5" s="248"/>
      <c r="I5" s="255"/>
      <c r="J5" s="248"/>
      <c r="K5" s="259" t="s">
        <v>135</v>
      </c>
      <c r="L5" s="260"/>
      <c r="M5" s="261"/>
      <c r="N5" s="248"/>
      <c r="O5" s="257"/>
      <c r="P5" s="255"/>
      <c r="Q5" s="258"/>
      <c r="R5" s="259" t="s">
        <v>102</v>
      </c>
      <c r="S5" s="26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168853.27000000002</v>
      </c>
      <c r="G8" s="149">
        <f aca="true" t="shared" si="0" ref="G8:G37">F8-E8</f>
        <v>-27392.22999999998</v>
      </c>
      <c r="H8" s="150">
        <f>F8/E8*100</f>
        <v>86.04185573681946</v>
      </c>
      <c r="I8" s="151">
        <f>F8-D8</f>
        <v>-1129597.83</v>
      </c>
      <c r="J8" s="151">
        <f>F8/D8*100</f>
        <v>13.004207089508416</v>
      </c>
      <c r="K8" s="149">
        <v>140423.02</v>
      </c>
      <c r="L8" s="149">
        <f aca="true" t="shared" si="1" ref="L8:L51">F8-K8</f>
        <v>28430.25000000003</v>
      </c>
      <c r="M8" s="203">
        <f aca="true" t="shared" si="2" ref="M8:M28">F8/K8</f>
        <v>1.202461462515192</v>
      </c>
      <c r="N8" s="149">
        <f>N9+N15+N18+N19+N20+N17</f>
        <v>101878</v>
      </c>
      <c r="O8" s="149">
        <f>O9+O15+O18+O19+O20+O17</f>
        <v>74996.29999999999</v>
      </c>
      <c r="P8" s="149">
        <f>O8-N8</f>
        <v>-26881.70000000001</v>
      </c>
      <c r="Q8" s="149">
        <f>O8/N8*100</f>
        <v>73.61383223070732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88213.21</v>
      </c>
      <c r="G9" s="148">
        <f t="shared" si="0"/>
        <v>-13986.789999999994</v>
      </c>
      <c r="H9" s="155">
        <f>F9/E9*100</f>
        <v>86.31429549902153</v>
      </c>
      <c r="I9" s="156">
        <f>F9-D9</f>
        <v>-678431.79</v>
      </c>
      <c r="J9" s="156">
        <f>F9/D9*100</f>
        <v>11.506396050323161</v>
      </c>
      <c r="K9" s="225">
        <v>70324.6</v>
      </c>
      <c r="L9" s="157">
        <f t="shared" si="1"/>
        <v>17888.61</v>
      </c>
      <c r="M9" s="204">
        <f t="shared" si="2"/>
        <v>1.2543720120697452</v>
      </c>
      <c r="N9" s="155">
        <f>E9-'січень 17'!E9</f>
        <v>54500</v>
      </c>
      <c r="O9" s="158">
        <f>F9-'січень 17'!F9</f>
        <v>41288.280000000006</v>
      </c>
      <c r="P9" s="159">
        <f>O9-N9</f>
        <v>-13211.719999999994</v>
      </c>
      <c r="Q9" s="156">
        <f>O9/N9*100</f>
        <v>75.75831192660551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80795.68</v>
      </c>
      <c r="G10" s="102">
        <f t="shared" si="0"/>
        <v>-11552.320000000007</v>
      </c>
      <c r="H10" s="29">
        <f aca="true" t="shared" si="3" ref="H10:H36">F10/E10*100</f>
        <v>87.49044917052886</v>
      </c>
      <c r="I10" s="103">
        <f aca="true" t="shared" si="4" ref="I10:I37">F10-D10</f>
        <v>-620521.3200000001</v>
      </c>
      <c r="J10" s="103">
        <f aca="true" t="shared" si="5" ref="J10:J36">F10/D10*100</f>
        <v>11.520564880075627</v>
      </c>
      <c r="K10" s="105">
        <v>62213.95</v>
      </c>
      <c r="L10" s="105">
        <f t="shared" si="1"/>
        <v>18581.729999999996</v>
      </c>
      <c r="M10" s="205">
        <f t="shared" si="2"/>
        <v>1.2986746541571463</v>
      </c>
      <c r="N10" s="104">
        <f>E10-'січень 17'!E10</f>
        <v>49064</v>
      </c>
      <c r="O10" s="142">
        <f>F10-'січень 17'!F10</f>
        <v>37652.74999999999</v>
      </c>
      <c r="P10" s="105">
        <f aca="true" t="shared" si="6" ref="P10:P37">O10-N10</f>
        <v>-11411.250000000007</v>
      </c>
      <c r="Q10" s="103">
        <f aca="true" t="shared" si="7" ref="Q10:Q18">O10/N10*100</f>
        <v>76.7421123430621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4343.42</v>
      </c>
      <c r="G11" s="102">
        <f t="shared" si="0"/>
        <v>-2856.58</v>
      </c>
      <c r="H11" s="29">
        <f t="shared" si="3"/>
        <v>60.32527777777778</v>
      </c>
      <c r="I11" s="103">
        <f t="shared" si="4"/>
        <v>-42162.58</v>
      </c>
      <c r="J11" s="103">
        <f t="shared" si="5"/>
        <v>9.339483077452373</v>
      </c>
      <c r="K11" s="105">
        <v>5319.16</v>
      </c>
      <c r="L11" s="105">
        <f t="shared" si="1"/>
        <v>-975.7399999999998</v>
      </c>
      <c r="M11" s="205">
        <f t="shared" si="2"/>
        <v>0.816561261552576</v>
      </c>
      <c r="N11" s="104">
        <f>E11-'січень 17'!E11</f>
        <v>3600</v>
      </c>
      <c r="O11" s="142">
        <f>F11-'січень 17'!F11</f>
        <v>1661.7200000000003</v>
      </c>
      <c r="P11" s="105">
        <f t="shared" si="6"/>
        <v>-1938.2799999999997</v>
      </c>
      <c r="Q11" s="103">
        <f t="shared" si="7"/>
        <v>46.158888888888896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948.01</v>
      </c>
      <c r="G12" s="102">
        <f t="shared" si="0"/>
        <v>108.00999999999999</v>
      </c>
      <c r="H12" s="29">
        <f t="shared" si="3"/>
        <v>112.85833333333332</v>
      </c>
      <c r="I12" s="103">
        <f t="shared" si="4"/>
        <v>-7331.99</v>
      </c>
      <c r="J12" s="103">
        <f t="shared" si="5"/>
        <v>11.449396135265701</v>
      </c>
      <c r="K12" s="105">
        <v>822.03</v>
      </c>
      <c r="L12" s="105">
        <f t="shared" si="1"/>
        <v>125.98000000000002</v>
      </c>
      <c r="M12" s="205">
        <f t="shared" si="2"/>
        <v>1.1532547473936474</v>
      </c>
      <c r="N12" s="104">
        <f>E12-'січень 17'!E12</f>
        <v>420</v>
      </c>
      <c r="O12" s="142">
        <f>F12-'січень 17'!F12</f>
        <v>447.58</v>
      </c>
      <c r="P12" s="105">
        <f t="shared" si="6"/>
        <v>27.579999999999984</v>
      </c>
      <c r="Q12" s="103">
        <f t="shared" si="7"/>
        <v>106.56666666666665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1927.79</v>
      </c>
      <c r="G13" s="102">
        <f t="shared" si="0"/>
        <v>307.78999999999996</v>
      </c>
      <c r="H13" s="29">
        <f t="shared" si="3"/>
        <v>118.99938271604937</v>
      </c>
      <c r="I13" s="103">
        <f t="shared" si="4"/>
        <v>-7462.21</v>
      </c>
      <c r="J13" s="103">
        <f t="shared" si="5"/>
        <v>20.53024494142705</v>
      </c>
      <c r="K13" s="105">
        <v>1514.49</v>
      </c>
      <c r="L13" s="105">
        <f t="shared" si="1"/>
        <v>413.29999999999995</v>
      </c>
      <c r="M13" s="205">
        <f t="shared" si="2"/>
        <v>1.272897146894334</v>
      </c>
      <c r="N13" s="104">
        <f>E13-'січень 17'!E13</f>
        <v>1320</v>
      </c>
      <c r="O13" s="142">
        <f>F13-'січень 17'!F13</f>
        <v>1428.4299999999998</v>
      </c>
      <c r="P13" s="105">
        <f t="shared" si="6"/>
        <v>108.42999999999984</v>
      </c>
      <c r="Q13" s="103">
        <f t="shared" si="7"/>
        <v>108.21439393939394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10745.48</v>
      </c>
      <c r="G19" s="148">
        <f t="shared" si="0"/>
        <v>-7254.52</v>
      </c>
      <c r="H19" s="155">
        <f t="shared" si="3"/>
        <v>59.69711111111111</v>
      </c>
      <c r="I19" s="156">
        <f t="shared" si="4"/>
        <v>-119254.52</v>
      </c>
      <c r="J19" s="156">
        <f t="shared" si="5"/>
        <v>8.265753846153846</v>
      </c>
      <c r="K19" s="167">
        <v>10861</v>
      </c>
      <c r="L19" s="159">
        <f t="shared" si="1"/>
        <v>-115.52000000000044</v>
      </c>
      <c r="M19" s="211">
        <f t="shared" si="2"/>
        <v>0.9893637786575822</v>
      </c>
      <c r="N19" s="155">
        <f>E19-'січень 17'!E19</f>
        <v>8300</v>
      </c>
      <c r="O19" s="158">
        <f>F19-'січень 17'!F19</f>
        <v>993.7299999999996</v>
      </c>
      <c r="P19" s="159">
        <f t="shared" si="6"/>
        <v>-7306.27</v>
      </c>
      <c r="Q19" s="156">
        <f aca="true" t="shared" si="9" ref="Q19:Q24">O19/N19*100</f>
        <v>11.972650602409633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69762.20999999999</v>
      </c>
      <c r="G20" s="148">
        <f t="shared" si="0"/>
        <v>-6162.290000000008</v>
      </c>
      <c r="H20" s="155">
        <f t="shared" si="3"/>
        <v>91.88366074192123</v>
      </c>
      <c r="I20" s="156">
        <f t="shared" si="4"/>
        <v>-331367.89</v>
      </c>
      <c r="J20" s="156">
        <f t="shared" si="5"/>
        <v>17.39141739799631</v>
      </c>
      <c r="K20" s="156">
        <v>59046.44</v>
      </c>
      <c r="L20" s="159">
        <f t="shared" si="1"/>
        <v>10715.76999999999</v>
      </c>
      <c r="M20" s="207">
        <f t="shared" si="2"/>
        <v>1.1814803737532693</v>
      </c>
      <c r="N20" s="155">
        <f>E20-'січень 17'!E20</f>
        <v>38957</v>
      </c>
      <c r="O20" s="158">
        <f>F20-'січень 17'!F20</f>
        <v>32581.91999999999</v>
      </c>
      <c r="P20" s="159">
        <f t="shared" si="6"/>
        <v>-6375.080000000009</v>
      </c>
      <c r="Q20" s="156">
        <f t="shared" si="9"/>
        <v>83.63559822368249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22619.37</v>
      </c>
      <c r="G21" s="148">
        <f t="shared" si="0"/>
        <v>-9461.43</v>
      </c>
      <c r="H21" s="155">
        <f t="shared" si="3"/>
        <v>70.50749981297224</v>
      </c>
      <c r="I21" s="156">
        <f t="shared" si="4"/>
        <v>-184001.63</v>
      </c>
      <c r="J21" s="156">
        <f t="shared" si="5"/>
        <v>10.947275446348629</v>
      </c>
      <c r="K21" s="156">
        <v>25484.06</v>
      </c>
      <c r="L21" s="159">
        <f t="shared" si="1"/>
        <v>-2864.6900000000023</v>
      </c>
      <c r="M21" s="207">
        <f t="shared" si="2"/>
        <v>0.8875889477579317</v>
      </c>
      <c r="N21" s="155">
        <f>E21-'січень 17'!E21</f>
        <v>15335</v>
      </c>
      <c r="O21" s="158">
        <f>F21-'січень 17'!F21</f>
        <v>6099.09</v>
      </c>
      <c r="P21" s="159">
        <f t="shared" si="6"/>
        <v>-9235.91</v>
      </c>
      <c r="Q21" s="156">
        <f t="shared" si="9"/>
        <v>39.77235083143137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4355.67</v>
      </c>
      <c r="G22" s="169">
        <f t="shared" si="0"/>
        <v>-19.329999999999927</v>
      </c>
      <c r="H22" s="171">
        <f t="shared" si="3"/>
        <v>99.55817142857143</v>
      </c>
      <c r="I22" s="172">
        <f t="shared" si="4"/>
        <v>-18453.33</v>
      </c>
      <c r="J22" s="172">
        <f t="shared" si="5"/>
        <v>19.096277785084837</v>
      </c>
      <c r="K22" s="173">
        <v>3552.77</v>
      </c>
      <c r="L22" s="164">
        <f t="shared" si="1"/>
        <v>802.9000000000001</v>
      </c>
      <c r="M22" s="213">
        <f t="shared" si="2"/>
        <v>1.2259926761372113</v>
      </c>
      <c r="N22" s="193">
        <f>E22-'січень 17'!E22</f>
        <v>225</v>
      </c>
      <c r="O22" s="177">
        <f>F22-'січень 17'!F22</f>
        <v>536.06</v>
      </c>
      <c r="P22" s="175">
        <f t="shared" si="6"/>
        <v>311.05999999999995</v>
      </c>
      <c r="Q22" s="172">
        <f t="shared" si="9"/>
        <v>238.24888888888887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148.94</v>
      </c>
      <c r="G23" s="196">
        <f t="shared" si="0"/>
        <v>-46.06</v>
      </c>
      <c r="H23" s="197">
        <f t="shared" si="3"/>
        <v>76.37948717948719</v>
      </c>
      <c r="I23" s="198">
        <f t="shared" si="4"/>
        <v>-1673.36</v>
      </c>
      <c r="J23" s="198">
        <f t="shared" si="5"/>
        <v>8.173187729792021</v>
      </c>
      <c r="K23" s="198">
        <v>146.88</v>
      </c>
      <c r="L23" s="198">
        <f t="shared" si="1"/>
        <v>2.0600000000000023</v>
      </c>
      <c r="M23" s="226">
        <f t="shared" si="2"/>
        <v>1.014025054466231</v>
      </c>
      <c r="N23" s="234">
        <f>E23-'січень 17'!E23</f>
        <v>55</v>
      </c>
      <c r="O23" s="234">
        <f>F23-'січень 17'!F23</f>
        <v>28.569999999999993</v>
      </c>
      <c r="P23" s="198">
        <f t="shared" si="6"/>
        <v>-26.430000000000007</v>
      </c>
      <c r="Q23" s="198">
        <f t="shared" si="9"/>
        <v>51.94545454545453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4206.73</v>
      </c>
      <c r="G24" s="196">
        <f t="shared" si="0"/>
        <v>26.729999999999563</v>
      </c>
      <c r="H24" s="197">
        <f t="shared" si="3"/>
        <v>100.63947368421051</v>
      </c>
      <c r="I24" s="198">
        <f t="shared" si="4"/>
        <v>-16779.97</v>
      </c>
      <c r="J24" s="198">
        <f t="shared" si="5"/>
        <v>20.044742622708664</v>
      </c>
      <c r="K24" s="198">
        <v>3405.89</v>
      </c>
      <c r="L24" s="198">
        <f t="shared" si="1"/>
        <v>800.8399999999997</v>
      </c>
      <c r="M24" s="226">
        <f t="shared" si="2"/>
        <v>1.2351338416684037</v>
      </c>
      <c r="N24" s="234">
        <f>E24-'січень 17'!E24</f>
        <v>170</v>
      </c>
      <c r="O24" s="234">
        <f>F24-'січень 17'!F24</f>
        <v>507.4899999999998</v>
      </c>
      <c r="P24" s="198">
        <f t="shared" si="6"/>
        <v>337.4899999999998</v>
      </c>
      <c r="Q24" s="198">
        <f t="shared" si="9"/>
        <v>298.52352941176457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18184.53</v>
      </c>
      <c r="G26" s="169">
        <f t="shared" si="0"/>
        <v>-9470.470000000001</v>
      </c>
      <c r="H26" s="171">
        <f t="shared" si="3"/>
        <v>65.75494485626469</v>
      </c>
      <c r="I26" s="172">
        <f t="shared" si="4"/>
        <v>-164807.47</v>
      </c>
      <c r="J26" s="172">
        <f t="shared" si="5"/>
        <v>9.937336058406924</v>
      </c>
      <c r="K26" s="173">
        <v>21757.07</v>
      </c>
      <c r="L26" s="173">
        <f t="shared" si="1"/>
        <v>-3572.540000000001</v>
      </c>
      <c r="M26" s="209">
        <f t="shared" si="2"/>
        <v>0.8357986622279562</v>
      </c>
      <c r="N26" s="193">
        <f>E26-'січень 17'!E26</f>
        <v>15105</v>
      </c>
      <c r="O26" s="177">
        <f>F26-'січень 17'!F26</f>
        <v>5535.939999999999</v>
      </c>
      <c r="P26" s="175">
        <f t="shared" si="6"/>
        <v>-9569.060000000001</v>
      </c>
      <c r="Q26" s="172">
        <f>O26/N26*100</f>
        <v>36.649718636213166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5157.54</v>
      </c>
      <c r="G27" s="196">
        <f t="shared" si="0"/>
        <v>-3022.46</v>
      </c>
      <c r="H27" s="197">
        <f t="shared" si="3"/>
        <v>63.05061124694377</v>
      </c>
      <c r="I27" s="198">
        <f t="shared" si="4"/>
        <v>-52375.46</v>
      </c>
      <c r="J27" s="198">
        <f t="shared" si="5"/>
        <v>8.964489944901187</v>
      </c>
      <c r="K27" s="198">
        <v>6708.33</v>
      </c>
      <c r="L27" s="198">
        <f t="shared" si="1"/>
        <v>-1550.79</v>
      </c>
      <c r="M27" s="226">
        <f t="shared" si="2"/>
        <v>0.768826220534768</v>
      </c>
      <c r="N27" s="234">
        <f>E27-'січень 17'!E27</f>
        <v>4650</v>
      </c>
      <c r="O27" s="234">
        <f>F27-'січень 17'!F27</f>
        <v>1357.6799999999998</v>
      </c>
      <c r="P27" s="198">
        <f t="shared" si="6"/>
        <v>-3292.32</v>
      </c>
      <c r="Q27" s="198">
        <f>O27/N27*100</f>
        <v>29.197419354838704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13026.98</v>
      </c>
      <c r="G28" s="196">
        <f t="shared" si="0"/>
        <v>-6448.02</v>
      </c>
      <c r="H28" s="197">
        <f t="shared" si="3"/>
        <v>66.89078305519897</v>
      </c>
      <c r="I28" s="198">
        <f t="shared" si="4"/>
        <v>-112432.02</v>
      </c>
      <c r="J28" s="198">
        <f t="shared" si="5"/>
        <v>10.38345594975251</v>
      </c>
      <c r="K28" s="198">
        <v>15048.75</v>
      </c>
      <c r="L28" s="198">
        <f t="shared" si="1"/>
        <v>-2021.7700000000004</v>
      </c>
      <c r="M28" s="226">
        <f t="shared" si="2"/>
        <v>0.8656519644488745</v>
      </c>
      <c r="N28" s="234">
        <f>E28-'січень 17'!E28</f>
        <v>10455</v>
      </c>
      <c r="O28" s="234">
        <f>F28-'січень 17'!F28</f>
        <v>4178.25</v>
      </c>
      <c r="P28" s="198">
        <f t="shared" si="6"/>
        <v>-6276.75</v>
      </c>
      <c r="Q28" s="198">
        <f>O28/N28*100</f>
        <v>39.96413199426112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47119.2</v>
      </c>
      <c r="G32" s="160">
        <f t="shared" si="0"/>
        <v>3290.5</v>
      </c>
      <c r="H32" s="162">
        <f t="shared" si="3"/>
        <v>107.50763768945919</v>
      </c>
      <c r="I32" s="163">
        <f t="shared" si="4"/>
        <v>-147274.90000000002</v>
      </c>
      <c r="J32" s="163">
        <f t="shared" si="5"/>
        <v>24.239007253820972</v>
      </c>
      <c r="K32" s="176">
        <v>33594.51</v>
      </c>
      <c r="L32" s="176">
        <f>F32-K32</f>
        <v>13524.689999999995</v>
      </c>
      <c r="M32" s="224">
        <f>F32/K32</f>
        <v>1.4025863154426124</v>
      </c>
      <c r="N32" s="155">
        <f>E32-'січень 17'!E32</f>
        <v>23609.999999999996</v>
      </c>
      <c r="O32" s="158">
        <f>F32-'січень 17'!F32</f>
        <v>26469.519999999997</v>
      </c>
      <c r="P32" s="165">
        <f t="shared" si="6"/>
        <v>2859.5200000000004</v>
      </c>
      <c r="Q32" s="163">
        <f>O32/N32*100</f>
        <v>112.11147818720882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9658.51</v>
      </c>
      <c r="G34" s="102">
        <f t="shared" si="0"/>
        <v>548.5100000000002</v>
      </c>
      <c r="H34" s="104">
        <f t="shared" si="3"/>
        <v>106.02096597145993</v>
      </c>
      <c r="I34" s="103">
        <f t="shared" si="4"/>
        <v>-31341.489999999998</v>
      </c>
      <c r="J34" s="103">
        <f t="shared" si="5"/>
        <v>23.557341463414634</v>
      </c>
      <c r="K34" s="126">
        <v>8679.27</v>
      </c>
      <c r="L34" s="126">
        <f t="shared" si="1"/>
        <v>979.2399999999998</v>
      </c>
      <c r="M34" s="214">
        <f t="shared" si="10"/>
        <v>1.1128251569544443</v>
      </c>
      <c r="N34" s="104">
        <f>E34-'січень 17'!E34</f>
        <v>5610</v>
      </c>
      <c r="O34" s="142">
        <f>F34-'січень 17'!F34</f>
        <v>6073.48</v>
      </c>
      <c r="P34" s="105">
        <f t="shared" si="6"/>
        <v>463.47999999999956</v>
      </c>
      <c r="Q34" s="103">
        <f>O34/N34*100</f>
        <v>108.26167557932263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37444.58</v>
      </c>
      <c r="G35" s="102">
        <f t="shared" si="0"/>
        <v>2744.5800000000017</v>
      </c>
      <c r="H35" s="104">
        <f t="shared" si="3"/>
        <v>107.90945244956774</v>
      </c>
      <c r="I35" s="103">
        <f t="shared" si="4"/>
        <v>-115894.52</v>
      </c>
      <c r="J35" s="103">
        <f t="shared" si="5"/>
        <v>24.419459876835067</v>
      </c>
      <c r="K35" s="126">
        <v>24907.67</v>
      </c>
      <c r="L35" s="126">
        <f t="shared" si="1"/>
        <v>12536.910000000003</v>
      </c>
      <c r="M35" s="214">
        <f t="shared" si="10"/>
        <v>1.5033353179964246</v>
      </c>
      <c r="N35" s="104">
        <f>E35-'січень 17'!E35</f>
        <v>18000</v>
      </c>
      <c r="O35" s="142">
        <f>F35-'січень 17'!F35</f>
        <v>20396.04</v>
      </c>
      <c r="P35" s="105">
        <f t="shared" si="6"/>
        <v>2396.040000000001</v>
      </c>
      <c r="Q35" s="103">
        <f>O35/N35*100</f>
        <v>113.31133333333334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8418.19</v>
      </c>
      <c r="G38" s="149">
        <f>G39+G40+G41+G42+G43+G45+G47+G48+G49+G50+G51+G56+G57+G61</f>
        <v>657.6899999999998</v>
      </c>
      <c r="H38" s="150">
        <f>F38/E38*100</f>
        <v>108.28507479965526</v>
      </c>
      <c r="I38" s="151">
        <f>F38-D38</f>
        <v>-50606.81</v>
      </c>
      <c r="J38" s="151">
        <f>F38/D38*100</f>
        <v>14.262075391783144</v>
      </c>
      <c r="K38" s="149">
        <v>4916.44</v>
      </c>
      <c r="L38" s="149">
        <f t="shared" si="1"/>
        <v>3501.750000000001</v>
      </c>
      <c r="M38" s="203">
        <f t="shared" si="10"/>
        <v>1.71225317506163</v>
      </c>
      <c r="N38" s="149">
        <f>N39+N40+N41+N42+N43+N45+N47+N48+N49+N50+N51+N56+N57+N61+N44</f>
        <v>4786.3</v>
      </c>
      <c r="O38" s="149">
        <f>O39+O40+O41+O42+O43+O45+O47+O48+O49+O50+O51+O56+O57+O61+O44</f>
        <v>4190.460000000001</v>
      </c>
      <c r="P38" s="149">
        <f>P39+P40+P41+P42+P43+P45+P47+P48+P49+P50+P51+P56+P57+P61</f>
        <v>-589.04</v>
      </c>
      <c r="Q38" s="149">
        <f>O38/N38*100</f>
        <v>87.55113553266617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47.91</v>
      </c>
      <c r="G41" s="160">
        <f t="shared" si="12"/>
        <v>31.909999999999997</v>
      </c>
      <c r="H41" s="162">
        <f aca="true" t="shared" si="15" ref="H41:H62">F41/E41*100</f>
        <v>299.4375</v>
      </c>
      <c r="I41" s="163">
        <f t="shared" si="13"/>
        <v>7.909999999999997</v>
      </c>
      <c r="J41" s="163">
        <f aca="true" t="shared" si="16" ref="J41:J62">F41/D41*100</f>
        <v>119.77499999999999</v>
      </c>
      <c r="K41" s="163">
        <v>24.38</v>
      </c>
      <c r="L41" s="163">
        <f t="shared" si="1"/>
        <v>23.529999999999998</v>
      </c>
      <c r="M41" s="216">
        <f aca="true" t="shared" si="17" ref="M41:M63">F41/K41</f>
        <v>1.9651353568498768</v>
      </c>
      <c r="N41" s="162">
        <f>E41-'січень 17'!E41</f>
        <v>6</v>
      </c>
      <c r="O41" s="166">
        <f>F41-'січень 17'!F41</f>
        <v>33.04</v>
      </c>
      <c r="P41" s="165">
        <f t="shared" si="14"/>
        <v>27.04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77.53</v>
      </c>
      <c r="G43" s="160">
        <f t="shared" si="12"/>
        <v>37.53</v>
      </c>
      <c r="H43" s="162">
        <f t="shared" si="15"/>
        <v>193.825</v>
      </c>
      <c r="I43" s="163">
        <f t="shared" si="13"/>
        <v>-182.47</v>
      </c>
      <c r="J43" s="163">
        <f t="shared" si="16"/>
        <v>29.81923076923077</v>
      </c>
      <c r="K43" s="163">
        <v>3.65</v>
      </c>
      <c r="L43" s="163">
        <f t="shared" si="1"/>
        <v>73.88</v>
      </c>
      <c r="M43" s="216">
        <f t="shared" si="17"/>
        <v>21.24109589041096</v>
      </c>
      <c r="N43" s="162">
        <f>E43-'січень 17'!E43</f>
        <v>20</v>
      </c>
      <c r="O43" s="166">
        <f>F43-'січень 17'!F43</f>
        <v>66.36</v>
      </c>
      <c r="P43" s="165">
        <f t="shared" si="14"/>
        <v>46.36</v>
      </c>
      <c r="Q43" s="163">
        <f t="shared" si="11"/>
        <v>331.8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179.97</v>
      </c>
      <c r="G45" s="160">
        <f t="shared" si="12"/>
        <v>59.97</v>
      </c>
      <c r="H45" s="162">
        <f t="shared" si="15"/>
        <v>149.975</v>
      </c>
      <c r="I45" s="163">
        <f t="shared" si="13"/>
        <v>-550.03</v>
      </c>
      <c r="J45" s="163">
        <f t="shared" si="16"/>
        <v>24.653424657534245</v>
      </c>
      <c r="K45" s="163">
        <v>0</v>
      </c>
      <c r="L45" s="163">
        <f t="shared" si="1"/>
        <v>179.97</v>
      </c>
      <c r="M45" s="216"/>
      <c r="N45" s="162">
        <f>E45-'січень 17'!E45</f>
        <v>60</v>
      </c>
      <c r="O45" s="166">
        <f>F45-'січень 17'!F45</f>
        <v>90.52</v>
      </c>
      <c r="P45" s="165">
        <f t="shared" si="14"/>
        <v>30.519999999999996</v>
      </c>
      <c r="Q45" s="163">
        <f t="shared" si="11"/>
        <v>150.86666666666667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2011.75</v>
      </c>
      <c r="G47" s="160">
        <f t="shared" si="12"/>
        <v>611.75</v>
      </c>
      <c r="H47" s="162">
        <f t="shared" si="15"/>
        <v>143.69642857142856</v>
      </c>
      <c r="I47" s="163">
        <f t="shared" si="13"/>
        <v>-8988.25</v>
      </c>
      <c r="J47" s="163">
        <f t="shared" si="16"/>
        <v>18.288636363636364</v>
      </c>
      <c r="K47" s="163">
        <v>1351.17</v>
      </c>
      <c r="L47" s="163">
        <f t="shared" si="1"/>
        <v>660.5799999999999</v>
      </c>
      <c r="M47" s="216">
        <f t="shared" si="17"/>
        <v>1.4888948096834593</v>
      </c>
      <c r="N47" s="162">
        <f>E47-'січень 17'!E47</f>
        <v>800</v>
      </c>
      <c r="O47" s="166">
        <f>F47-'січень 17'!F47</f>
        <v>959.19</v>
      </c>
      <c r="P47" s="165">
        <f t="shared" si="14"/>
        <v>159.19000000000005</v>
      </c>
      <c r="Q47" s="163">
        <f t="shared" si="11"/>
        <v>119.89875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84.32</v>
      </c>
      <c r="G48" s="160">
        <f t="shared" si="12"/>
        <v>34.31999999999999</v>
      </c>
      <c r="H48" s="162">
        <f t="shared" si="15"/>
        <v>168.64</v>
      </c>
      <c r="I48" s="163">
        <f t="shared" si="13"/>
        <v>-225.68</v>
      </c>
      <c r="J48" s="163">
        <f t="shared" si="16"/>
        <v>27.199999999999996</v>
      </c>
      <c r="K48" s="163">
        <v>1.03</v>
      </c>
      <c r="L48" s="163">
        <f t="shared" si="1"/>
        <v>83.28999999999999</v>
      </c>
      <c r="M48" s="216"/>
      <c r="N48" s="162">
        <f>E48-'січень 17'!E48</f>
        <v>25</v>
      </c>
      <c r="O48" s="166">
        <f>F48-'січень 17'!F48</f>
        <v>39.78999999999999</v>
      </c>
      <c r="P48" s="165">
        <f t="shared" si="14"/>
        <v>14.789999999999992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84.55</v>
      </c>
      <c r="G51" s="160">
        <f t="shared" si="12"/>
        <v>-55.45</v>
      </c>
      <c r="H51" s="162">
        <f t="shared" si="15"/>
        <v>60.39285714285714</v>
      </c>
      <c r="I51" s="163">
        <f t="shared" si="13"/>
        <v>-1115.45</v>
      </c>
      <c r="J51" s="163">
        <f t="shared" si="16"/>
        <v>7.045833333333333</v>
      </c>
      <c r="K51" s="163">
        <v>965.16</v>
      </c>
      <c r="L51" s="163">
        <f t="shared" si="1"/>
        <v>-880.61</v>
      </c>
      <c r="M51" s="216">
        <f t="shared" si="17"/>
        <v>0.08760205561772141</v>
      </c>
      <c r="N51" s="162">
        <f>E51-'січень 17'!E51</f>
        <v>85</v>
      </c>
      <c r="O51" s="166">
        <f>F51-'січень 17'!F51</f>
        <v>44.459999999999994</v>
      </c>
      <c r="P51" s="165">
        <f t="shared" si="14"/>
        <v>-40.540000000000006</v>
      </c>
      <c r="Q51" s="163">
        <f t="shared" si="11"/>
        <v>52.30588235294117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70.4</v>
      </c>
      <c r="G52" s="33">
        <f t="shared" si="12"/>
        <v>-39.599999999999994</v>
      </c>
      <c r="H52" s="29">
        <f t="shared" si="15"/>
        <v>64</v>
      </c>
      <c r="I52" s="103">
        <f t="shared" si="13"/>
        <v>-927.6</v>
      </c>
      <c r="J52" s="103">
        <f t="shared" si="16"/>
        <v>7.054108216432867</v>
      </c>
      <c r="K52" s="103">
        <v>86.43</v>
      </c>
      <c r="L52" s="103">
        <f>F52-K52</f>
        <v>-16.03</v>
      </c>
      <c r="M52" s="108">
        <f t="shared" si="17"/>
        <v>0.8145319912067569</v>
      </c>
      <c r="N52" s="162">
        <f>E52-'січень 17'!E52</f>
        <v>70</v>
      </c>
      <c r="O52" s="166">
        <f>F52-'січень 17'!F52</f>
        <v>37.59</v>
      </c>
      <c r="P52" s="105">
        <f t="shared" si="14"/>
        <v>-32.41</v>
      </c>
      <c r="Q52" s="118">
        <f t="shared" si="11"/>
        <v>53.7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14.05</v>
      </c>
      <c r="G55" s="33">
        <f t="shared" si="12"/>
        <v>-15.95</v>
      </c>
      <c r="H55" s="29">
        <f t="shared" si="15"/>
        <v>46.833333333333336</v>
      </c>
      <c r="I55" s="103">
        <f t="shared" si="13"/>
        <v>-185.95</v>
      </c>
      <c r="J55" s="103">
        <f t="shared" si="16"/>
        <v>7.025</v>
      </c>
      <c r="K55" s="103">
        <v>878.65</v>
      </c>
      <c r="L55" s="103">
        <f>F55-K55</f>
        <v>-864.6</v>
      </c>
      <c r="M55" s="108">
        <f t="shared" si="17"/>
        <v>0.015990439879360385</v>
      </c>
      <c r="N55" s="162">
        <f>E55-'січень 17'!E55</f>
        <v>15</v>
      </c>
      <c r="O55" s="166">
        <f>F55-'січень 17'!F55</f>
        <v>6.780000000000001</v>
      </c>
      <c r="P55" s="105">
        <f t="shared" si="14"/>
        <v>-8.219999999999999</v>
      </c>
      <c r="Q55" s="118">
        <f t="shared" si="11"/>
        <v>45.20000000000001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2606.72</v>
      </c>
      <c r="G57" s="160">
        <f t="shared" si="12"/>
        <v>406.7199999999998</v>
      </c>
      <c r="H57" s="162">
        <f t="shared" si="15"/>
        <v>118.48727272727271</v>
      </c>
      <c r="I57" s="163">
        <f t="shared" si="13"/>
        <v>-4743.280000000001</v>
      </c>
      <c r="J57" s="163">
        <f t="shared" si="16"/>
        <v>35.46557823129252</v>
      </c>
      <c r="K57" s="163">
        <v>722.66</v>
      </c>
      <c r="L57" s="163">
        <f aca="true" t="shared" si="18" ref="L57:L63">F57-K57</f>
        <v>1884.06</v>
      </c>
      <c r="M57" s="216">
        <f t="shared" si="17"/>
        <v>3.607118146846373</v>
      </c>
      <c r="N57" s="162">
        <f>E57-'січень 17'!E57</f>
        <v>600</v>
      </c>
      <c r="O57" s="166">
        <f>F57-'січень 17'!F57</f>
        <v>359.3899999999999</v>
      </c>
      <c r="P57" s="165">
        <f t="shared" si="14"/>
        <v>-240.61000000000013</v>
      </c>
      <c r="Q57" s="163">
        <f t="shared" si="11"/>
        <v>59.89833333333331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281.28</v>
      </c>
      <c r="G59" s="160"/>
      <c r="H59" s="162"/>
      <c r="I59" s="163"/>
      <c r="J59" s="163"/>
      <c r="K59" s="164">
        <v>147.3</v>
      </c>
      <c r="L59" s="163">
        <f t="shared" si="18"/>
        <v>133.97999999999996</v>
      </c>
      <c r="M59" s="216">
        <f t="shared" si="17"/>
        <v>1.9095723014256616</v>
      </c>
      <c r="N59" s="162">
        <f>E59-'січень 17'!E59</f>
        <v>0</v>
      </c>
      <c r="O59" s="166">
        <f>F59-'січень 17'!F59</f>
        <v>114.06999999999996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177274.73000000004</v>
      </c>
      <c r="G64" s="149">
        <f>F64-E64</f>
        <v>-26747.369999999966</v>
      </c>
      <c r="H64" s="150">
        <f>F64/E64*100</f>
        <v>86.88996437150684</v>
      </c>
      <c r="I64" s="151">
        <f>F64-D64</f>
        <v>-1180216.37</v>
      </c>
      <c r="J64" s="151">
        <f>F64/D64*100</f>
        <v>13.05899758753483</v>
      </c>
      <c r="K64" s="151">
        <v>145343.26</v>
      </c>
      <c r="L64" s="151">
        <f>F64-K64</f>
        <v>31931.47000000003</v>
      </c>
      <c r="M64" s="217">
        <f>F64/K64</f>
        <v>1.2196969436353637</v>
      </c>
      <c r="N64" s="149">
        <f>N8+N38+N62+N63</f>
        <v>106665.6</v>
      </c>
      <c r="O64" s="149">
        <f>O8+O38+O62+O63</f>
        <v>79188.54</v>
      </c>
      <c r="P64" s="153">
        <f>O64-N64</f>
        <v>-27477.060000000012</v>
      </c>
      <c r="Q64" s="151">
        <f>O64/N64*100</f>
        <v>74.23999864998649</v>
      </c>
      <c r="R64" s="26">
        <f>O64-34768</f>
        <v>44420.53999999999</v>
      </c>
      <c r="S64" s="114">
        <f>O64/34768</f>
        <v>2.277627128393925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-53961.45</v>
      </c>
      <c r="J74" s="165">
        <f>F74/D74*100</f>
        <v>0.07138888888888888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1095.59</v>
      </c>
      <c r="G75" s="160">
        <f t="shared" si="19"/>
        <v>295.5899999999999</v>
      </c>
      <c r="H75" s="162">
        <f>F75/E75*100</f>
        <v>136.94875</v>
      </c>
      <c r="I75" s="165">
        <f t="shared" si="20"/>
        <v>-77904.41</v>
      </c>
      <c r="J75" s="165">
        <f>F75/D75*100</f>
        <v>1.3868227848101264</v>
      </c>
      <c r="K75" s="165">
        <v>646.84</v>
      </c>
      <c r="L75" s="165">
        <f t="shared" si="21"/>
        <v>448.7499999999999</v>
      </c>
      <c r="M75" s="207">
        <f>F75/K75</f>
        <v>1.6937573433924926</v>
      </c>
      <c r="N75" s="162">
        <f>E75-'січень 17'!E75</f>
        <v>400</v>
      </c>
      <c r="O75" s="166">
        <f>F75-'січень 17'!F75</f>
        <v>1005.4699999999999</v>
      </c>
      <c r="P75" s="165">
        <f t="shared" si="22"/>
        <v>605.4699999999999</v>
      </c>
      <c r="Q75" s="165">
        <f>O75/N75*100</f>
        <v>251.36749999999998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1136.2099999999998</v>
      </c>
      <c r="G77" s="183">
        <f t="shared" si="19"/>
        <v>-895.7900000000002</v>
      </c>
      <c r="H77" s="184">
        <f>F77/E77*100</f>
        <v>55.91584645669291</v>
      </c>
      <c r="I77" s="185">
        <f t="shared" si="20"/>
        <v>-236081.82</v>
      </c>
      <c r="J77" s="185">
        <f>F77/D77*100</f>
        <v>0.4789728672816311</v>
      </c>
      <c r="K77" s="185">
        <v>1025.62</v>
      </c>
      <c r="L77" s="185">
        <f t="shared" si="21"/>
        <v>110.58999999999992</v>
      </c>
      <c r="M77" s="212">
        <f>F77/K77</f>
        <v>1.1078274604629395</v>
      </c>
      <c r="N77" s="183">
        <f>N73+N74+N75+N76</f>
        <v>1031</v>
      </c>
      <c r="O77" s="187">
        <f>O73+O74+O75+O76</f>
        <v>1043.1499999999999</v>
      </c>
      <c r="P77" s="185">
        <f t="shared" si="22"/>
        <v>12.149999999999864</v>
      </c>
      <c r="Q77" s="185">
        <f>O77/N77*100</f>
        <v>101.17846750727449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8.49</v>
      </c>
      <c r="G78" s="160">
        <f t="shared" si="19"/>
        <v>8.49</v>
      </c>
      <c r="H78" s="162"/>
      <c r="I78" s="165">
        <f t="shared" si="20"/>
        <v>-31.509999999999998</v>
      </c>
      <c r="J78" s="165"/>
      <c r="K78" s="165">
        <v>0.01</v>
      </c>
      <c r="L78" s="165">
        <f t="shared" si="21"/>
        <v>8.48</v>
      </c>
      <c r="M78" s="207">
        <f>F78/K78</f>
        <v>849</v>
      </c>
      <c r="N78" s="162">
        <f>E78-'січень 17'!E78</f>
        <v>0</v>
      </c>
      <c r="O78" s="166">
        <f>F78-'січень 17'!F78</f>
        <v>8.15</v>
      </c>
      <c r="P78" s="165">
        <f t="shared" si="22"/>
        <v>8.15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2225.75</v>
      </c>
      <c r="G82" s="181">
        <f>G78+G81+G79+G80</f>
        <v>-124.24999999999999</v>
      </c>
      <c r="H82" s="184">
        <f>F82/E82*100</f>
        <v>94.7127659574468</v>
      </c>
      <c r="I82" s="185">
        <f t="shared" si="20"/>
        <v>-6174.25</v>
      </c>
      <c r="J82" s="185">
        <f>F82/D82*100</f>
        <v>26.49702380952381</v>
      </c>
      <c r="K82" s="185">
        <v>2013.84</v>
      </c>
      <c r="L82" s="185">
        <f t="shared" si="21"/>
        <v>211.91000000000008</v>
      </c>
      <c r="M82" s="218">
        <f t="shared" si="24"/>
        <v>1.1052268303340882</v>
      </c>
      <c r="N82" s="183">
        <f>N78+N81+N79+N80</f>
        <v>2342.5</v>
      </c>
      <c r="O82" s="187">
        <f>O78+O81+O79+O80</f>
        <v>2213.93</v>
      </c>
      <c r="P82" s="183">
        <f>P78+P81+P79+P80</f>
        <v>-128.57</v>
      </c>
      <c r="Q82" s="185">
        <f>O82/N82*100</f>
        <v>94.51141942369263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0.66</v>
      </c>
      <c r="G83" s="160">
        <f t="shared" si="19"/>
        <v>-4.24</v>
      </c>
      <c r="H83" s="162">
        <f>F83/E83*100</f>
        <v>13.46938775510204</v>
      </c>
      <c r="I83" s="165">
        <f t="shared" si="20"/>
        <v>-37.34</v>
      </c>
      <c r="J83" s="165">
        <f>F83/D83*100</f>
        <v>1.7368421052631577</v>
      </c>
      <c r="K83" s="165">
        <v>0.69</v>
      </c>
      <c r="L83" s="165">
        <f t="shared" si="21"/>
        <v>-0.029999999999999916</v>
      </c>
      <c r="M83" s="207">
        <f t="shared" si="24"/>
        <v>0.9565217391304349</v>
      </c>
      <c r="N83" s="162">
        <f>E83-'січень 17'!E83</f>
        <v>2.5000000000000004</v>
      </c>
      <c r="O83" s="166">
        <f>F83-'січень 17'!F83</f>
        <v>0.32</v>
      </c>
      <c r="P83" s="165">
        <f t="shared" si="22"/>
        <v>-2.1800000000000006</v>
      </c>
      <c r="Q83" s="165">
        <f>O83/N83</f>
        <v>0.12799999999999997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3389.29</v>
      </c>
      <c r="G85" s="190">
        <f>F85-E85</f>
        <v>-997.6099999999997</v>
      </c>
      <c r="H85" s="191">
        <f>F85/E85*100</f>
        <v>77.2593403086462</v>
      </c>
      <c r="I85" s="192">
        <f>F85-D85</f>
        <v>-242266.74</v>
      </c>
      <c r="J85" s="192">
        <f>F85/D85*100</f>
        <v>1.3796893159919583</v>
      </c>
      <c r="K85" s="192">
        <v>3039.87</v>
      </c>
      <c r="L85" s="192">
        <f>F85-K85</f>
        <v>349.4200000000001</v>
      </c>
      <c r="M85" s="219">
        <f t="shared" si="24"/>
        <v>1.1149457049150129</v>
      </c>
      <c r="N85" s="189">
        <f>N71+N83+N77+N82+N84</f>
        <v>3376</v>
      </c>
      <c r="O85" s="189">
        <f>O71+O83+O77+O82+O84</f>
        <v>3272.2499999999995</v>
      </c>
      <c r="P85" s="192">
        <f t="shared" si="22"/>
        <v>-103.75000000000045</v>
      </c>
      <c r="Q85" s="192">
        <f>O85/N85*100</f>
        <v>96.92683649289097</v>
      </c>
      <c r="R85" s="26">
        <f>O85-8104.96</f>
        <v>-4832.710000000001</v>
      </c>
      <c r="S85" s="94">
        <f>O85/8104.96</f>
        <v>0.4037342565540113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180664.02000000005</v>
      </c>
      <c r="G86" s="190">
        <f>F86-E86</f>
        <v>-27744.979999999952</v>
      </c>
      <c r="H86" s="191">
        <f>F86/E86*100</f>
        <v>86.68724479269132</v>
      </c>
      <c r="I86" s="192">
        <f>F86-D86</f>
        <v>-1422483.11</v>
      </c>
      <c r="J86" s="192">
        <f>F86/D86*100</f>
        <v>11.269334961164795</v>
      </c>
      <c r="K86" s="192">
        <f>K64+K85</f>
        <v>148383.13</v>
      </c>
      <c r="L86" s="192">
        <f>F86-K86</f>
        <v>32280.890000000043</v>
      </c>
      <c r="M86" s="219">
        <f t="shared" si="24"/>
        <v>1.2175509439651262</v>
      </c>
      <c r="N86" s="190">
        <f>N64+N85</f>
        <v>110041.6</v>
      </c>
      <c r="O86" s="190">
        <f>O64+O85</f>
        <v>82460.79</v>
      </c>
      <c r="P86" s="192">
        <f t="shared" si="22"/>
        <v>-27580.810000000012</v>
      </c>
      <c r="Q86" s="192">
        <f>O86/N86*100</f>
        <v>74.93601510701407</v>
      </c>
      <c r="R86" s="26">
        <f>O86-42872.96</f>
        <v>39587.829999999994</v>
      </c>
      <c r="S86" s="94">
        <f>O86/42872.96</f>
        <v>1.9233752463090954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3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9159.020000000004</v>
      </c>
      <c r="D89" s="4" t="s">
        <v>24</v>
      </c>
      <c r="G89" s="262"/>
      <c r="H89" s="262"/>
      <c r="I89" s="262"/>
      <c r="J89" s="262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42789</v>
      </c>
      <c r="D90" s="28">
        <v>3227.8</v>
      </c>
      <c r="G90" s="4" t="s">
        <v>58</v>
      </c>
      <c r="O90" s="263"/>
      <c r="P90" s="263"/>
      <c r="T90" s="145">
        <f t="shared" si="23"/>
        <v>3227.8</v>
      </c>
    </row>
    <row r="91" spans="3:16" ht="15">
      <c r="C91" s="80">
        <v>42788</v>
      </c>
      <c r="D91" s="28">
        <v>4980.6</v>
      </c>
      <c r="F91" s="112" t="s">
        <v>58</v>
      </c>
      <c r="G91" s="264"/>
      <c r="H91" s="264"/>
      <c r="I91" s="117"/>
      <c r="J91" s="265"/>
      <c r="K91" s="265"/>
      <c r="L91" s="265"/>
      <c r="M91" s="265"/>
      <c r="N91" s="265"/>
      <c r="O91" s="263"/>
      <c r="P91" s="263"/>
    </row>
    <row r="92" spans="3:16" ht="15.75" customHeight="1">
      <c r="C92" s="80">
        <v>42787</v>
      </c>
      <c r="D92" s="28">
        <v>4141</v>
      </c>
      <c r="F92" s="67"/>
      <c r="G92" s="264"/>
      <c r="H92" s="264"/>
      <c r="I92" s="117"/>
      <c r="J92" s="266"/>
      <c r="K92" s="266"/>
      <c r="L92" s="266"/>
      <c r="M92" s="266"/>
      <c r="N92" s="266"/>
      <c r="O92" s="263"/>
      <c r="P92" s="263"/>
    </row>
    <row r="93" spans="3:14" ht="15.75" customHeight="1">
      <c r="C93" s="80"/>
      <c r="F93" s="67"/>
      <c r="G93" s="270"/>
      <c r="H93" s="270"/>
      <c r="I93" s="123"/>
      <c r="J93" s="265"/>
      <c r="K93" s="265"/>
      <c r="L93" s="265"/>
      <c r="M93" s="265"/>
      <c r="N93" s="265"/>
    </row>
    <row r="94" spans="2:14" ht="18.75" customHeight="1">
      <c r="B94" s="271" t="s">
        <v>56</v>
      </c>
      <c r="C94" s="272"/>
      <c r="D94" s="132">
        <v>773.5459599999999</v>
      </c>
      <c r="E94" s="68"/>
      <c r="F94" s="124" t="s">
        <v>105</v>
      </c>
      <c r="G94" s="264"/>
      <c r="H94" s="264"/>
      <c r="I94" s="125"/>
      <c r="J94" s="265"/>
      <c r="K94" s="265"/>
      <c r="L94" s="265"/>
      <c r="M94" s="265"/>
      <c r="N94" s="265"/>
    </row>
    <row r="95" spans="6:13" ht="9.75" customHeight="1">
      <c r="F95" s="67"/>
      <c r="G95" s="264"/>
      <c r="H95" s="264"/>
      <c r="I95" s="67"/>
      <c r="J95" s="68"/>
      <c r="K95" s="68"/>
      <c r="L95" s="68"/>
      <c r="M95" s="68"/>
    </row>
    <row r="96" spans="2:13" ht="22.5" customHeight="1" hidden="1">
      <c r="B96" s="267" t="s">
        <v>59</v>
      </c>
      <c r="C96" s="268"/>
      <c r="D96" s="79">
        <v>0</v>
      </c>
      <c r="E96" s="50" t="s">
        <v>24</v>
      </c>
      <c r="F96" s="67"/>
      <c r="G96" s="264"/>
      <c r="H96" s="26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264.28999999999996</v>
      </c>
      <c r="G97" s="67">
        <f>G45+G48+G49</f>
        <v>92.28999999999999</v>
      </c>
      <c r="H97" s="68"/>
      <c r="I97" s="68"/>
      <c r="N97" s="28">
        <f>N45+N48+N49</f>
        <v>86</v>
      </c>
      <c r="O97" s="200">
        <f>O45+O48+O49</f>
        <v>130.31</v>
      </c>
      <c r="P97" s="28">
        <f>P45+P48+P49</f>
        <v>44.30999999999999</v>
      </c>
    </row>
    <row r="98" spans="4:16" ht="15" hidden="1">
      <c r="D98" s="77"/>
      <c r="I98" s="28"/>
      <c r="O98" s="269"/>
      <c r="P98" s="26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168869.42000000004</v>
      </c>
      <c r="G99" s="28">
        <f>F99-E99</f>
        <v>-27461.079999999958</v>
      </c>
      <c r="H99" s="228">
        <f>F99/E99</f>
        <v>0.8601283040587175</v>
      </c>
      <c r="I99" s="28">
        <f>F99-D99</f>
        <v>-1130179.1800000002</v>
      </c>
      <c r="J99" s="228">
        <f>F99/D99</f>
        <v>0.12999468996002153</v>
      </c>
      <c r="N99" s="28">
        <f>N9+N15+N17+N18+N19+N20+N39+N42+N44+N56+N62+N63</f>
        <v>101968.6</v>
      </c>
      <c r="O99" s="227">
        <f>O9+O15+O17+O18+O19+O20+O39+O42+O44+O56+O62+O63</f>
        <v>75001.10999999999</v>
      </c>
      <c r="P99" s="28">
        <f>O99-N99</f>
        <v>-26967.49000000002</v>
      </c>
      <c r="Q99" s="228">
        <f>O99/N99</f>
        <v>0.735531428302438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8405.31</v>
      </c>
      <c r="G100" s="28">
        <f>G40+G41+G43+G45+G47+G48+G49+G50+G51+G57+G61+G44</f>
        <v>713.7099999999998</v>
      </c>
      <c r="H100" s="228">
        <f>F100/E100</f>
        <v>1.0927908367569816</v>
      </c>
      <c r="I100" s="28">
        <f>I40+I41+I43+I45+I47+I48+I49+I50+I51+I57+I61+I44</f>
        <v>-50037.19</v>
      </c>
      <c r="J100" s="228">
        <f>F100/D100</f>
        <v>0.1438218762031056</v>
      </c>
      <c r="K100" s="28">
        <f aca="true" t="shared" si="25" ref="K100:P100">K40+K41+K43+K45+K47+K48+K49+K50+K51+K57+K61+K44</f>
        <v>4835.679999999999</v>
      </c>
      <c r="L100" s="28">
        <f t="shared" si="25"/>
        <v>3569.63</v>
      </c>
      <c r="M100" s="28">
        <f t="shared" si="25"/>
        <v>30.30418348546701</v>
      </c>
      <c r="N100" s="28">
        <f t="shared" si="25"/>
        <v>4703.8</v>
      </c>
      <c r="O100" s="227">
        <f t="shared" si="25"/>
        <v>4187.43</v>
      </c>
      <c r="P100" s="28">
        <f t="shared" si="25"/>
        <v>-509.57</v>
      </c>
      <c r="Q100" s="228">
        <f>O100/N100</f>
        <v>0.8902227985883754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177274.73000000004</v>
      </c>
      <c r="G101" s="28">
        <f t="shared" si="26"/>
        <v>-26747.36999999996</v>
      </c>
      <c r="H101" s="228">
        <f>F101/E101</f>
        <v>0.8688996437150683</v>
      </c>
      <c r="I101" s="28">
        <f t="shared" si="26"/>
        <v>-1180216.37</v>
      </c>
      <c r="J101" s="228">
        <f>F101/D101</f>
        <v>0.1305899758753483</v>
      </c>
      <c r="K101" s="28">
        <f t="shared" si="26"/>
        <v>4835.679999999999</v>
      </c>
      <c r="L101" s="28">
        <f t="shared" si="26"/>
        <v>3569.63</v>
      </c>
      <c r="M101" s="28">
        <f t="shared" si="26"/>
        <v>30.30418348546701</v>
      </c>
      <c r="N101" s="28">
        <f t="shared" si="26"/>
        <v>106672.40000000001</v>
      </c>
      <c r="O101" s="227">
        <f t="shared" si="26"/>
        <v>79188.53999999998</v>
      </c>
      <c r="P101" s="28">
        <f t="shared" si="26"/>
        <v>-27477.06000000002</v>
      </c>
      <c r="Q101" s="228">
        <f>O101/N101</f>
        <v>0.7423526610444686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28361.84000000003</v>
      </c>
      <c r="M102" s="28">
        <f t="shared" si="27"/>
        <v>-29.084486541831648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44420.53999999999</v>
      </c>
      <c r="S102" s="28">
        <f t="shared" si="27"/>
        <v>2.277627128393925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6" t="s">
        <v>131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85"/>
      <c r="S1" s="86"/>
    </row>
    <row r="2" spans="2:19" s="1" customFormat="1" ht="15.75" customHeight="1">
      <c r="B2" s="237"/>
      <c r="C2" s="237"/>
      <c r="D2" s="23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8"/>
      <c r="B3" s="240"/>
      <c r="C3" s="241" t="s">
        <v>0</v>
      </c>
      <c r="D3" s="242" t="s">
        <v>121</v>
      </c>
      <c r="E3" s="31"/>
      <c r="F3" s="243" t="s">
        <v>26</v>
      </c>
      <c r="G3" s="244"/>
      <c r="H3" s="244"/>
      <c r="I3" s="244"/>
      <c r="J3" s="245"/>
      <c r="K3" s="82"/>
      <c r="L3" s="82"/>
      <c r="M3" s="82"/>
      <c r="N3" s="246" t="s">
        <v>119</v>
      </c>
      <c r="O3" s="249" t="s">
        <v>115</v>
      </c>
      <c r="P3" s="249"/>
      <c r="Q3" s="249"/>
      <c r="R3" s="249"/>
      <c r="S3" s="249"/>
    </row>
    <row r="4" spans="1:19" ht="22.5" customHeight="1">
      <c r="A4" s="238"/>
      <c r="B4" s="240"/>
      <c r="C4" s="241"/>
      <c r="D4" s="242"/>
      <c r="E4" s="250" t="s">
        <v>122</v>
      </c>
      <c r="F4" s="252" t="s">
        <v>33</v>
      </c>
      <c r="G4" s="254" t="s">
        <v>123</v>
      </c>
      <c r="H4" s="247" t="s">
        <v>124</v>
      </c>
      <c r="I4" s="254" t="s">
        <v>125</v>
      </c>
      <c r="J4" s="247" t="s">
        <v>126</v>
      </c>
      <c r="K4" s="84" t="s">
        <v>128</v>
      </c>
      <c r="L4" s="202" t="s">
        <v>111</v>
      </c>
      <c r="M4" s="89" t="s">
        <v>63</v>
      </c>
      <c r="N4" s="247"/>
      <c r="O4" s="256" t="s">
        <v>120</v>
      </c>
      <c r="P4" s="254" t="s">
        <v>49</v>
      </c>
      <c r="Q4" s="258" t="s">
        <v>48</v>
      </c>
      <c r="R4" s="90" t="s">
        <v>64</v>
      </c>
      <c r="S4" s="91" t="s">
        <v>63</v>
      </c>
    </row>
    <row r="5" spans="1:19" ht="67.5" customHeight="1">
      <c r="A5" s="239"/>
      <c r="B5" s="240"/>
      <c r="C5" s="241"/>
      <c r="D5" s="242"/>
      <c r="E5" s="251"/>
      <c r="F5" s="253"/>
      <c r="G5" s="255"/>
      <c r="H5" s="248"/>
      <c r="I5" s="255"/>
      <c r="J5" s="248"/>
      <c r="K5" s="259" t="s">
        <v>129</v>
      </c>
      <c r="L5" s="260"/>
      <c r="M5" s="261"/>
      <c r="N5" s="248"/>
      <c r="O5" s="257"/>
      <c r="P5" s="255"/>
      <c r="Q5" s="258"/>
      <c r="R5" s="259" t="s">
        <v>102</v>
      </c>
      <c r="S5" s="26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2"/>
      <c r="H89" s="262"/>
      <c r="I89" s="262"/>
      <c r="J89" s="262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3"/>
      <c r="P90" s="26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4"/>
      <c r="H91" s="264"/>
      <c r="I91" s="117"/>
      <c r="J91" s="265"/>
      <c r="K91" s="265"/>
      <c r="L91" s="265"/>
      <c r="M91" s="265"/>
      <c r="N91" s="265"/>
      <c r="O91" s="263"/>
      <c r="P91" s="263"/>
    </row>
    <row r="92" spans="3:16" ht="15.75" customHeight="1">
      <c r="C92" s="80">
        <v>42762</v>
      </c>
      <c r="D92" s="28">
        <v>8862.4</v>
      </c>
      <c r="F92" s="67"/>
      <c r="G92" s="264"/>
      <c r="H92" s="264"/>
      <c r="I92" s="117"/>
      <c r="J92" s="266"/>
      <c r="K92" s="266"/>
      <c r="L92" s="266"/>
      <c r="M92" s="266"/>
      <c r="N92" s="266"/>
      <c r="O92" s="263"/>
      <c r="P92" s="263"/>
    </row>
    <row r="93" spans="3:14" ht="15.75" customHeight="1">
      <c r="C93" s="80"/>
      <c r="F93" s="67"/>
      <c r="G93" s="270"/>
      <c r="H93" s="270"/>
      <c r="I93" s="123"/>
      <c r="J93" s="265"/>
      <c r="K93" s="265"/>
      <c r="L93" s="265"/>
      <c r="M93" s="265"/>
      <c r="N93" s="265"/>
    </row>
    <row r="94" spans="2:14" ht="18.75" customHeight="1">
      <c r="B94" s="271" t="s">
        <v>56</v>
      </c>
      <c r="C94" s="272"/>
      <c r="D94" s="132">
        <f>9505303.41/1000</f>
        <v>9505.30341</v>
      </c>
      <c r="E94" s="68"/>
      <c r="F94" s="124" t="s">
        <v>105</v>
      </c>
      <c r="G94" s="264"/>
      <c r="H94" s="264"/>
      <c r="I94" s="125"/>
      <c r="J94" s="265"/>
      <c r="K94" s="265"/>
      <c r="L94" s="265"/>
      <c r="M94" s="265"/>
      <c r="N94" s="265"/>
    </row>
    <row r="95" spans="6:13" ht="9.75" customHeight="1">
      <c r="F95" s="67"/>
      <c r="G95" s="264"/>
      <c r="H95" s="264"/>
      <c r="I95" s="67"/>
      <c r="J95" s="68"/>
      <c r="K95" s="68"/>
      <c r="L95" s="68"/>
      <c r="M95" s="68"/>
    </row>
    <row r="96" spans="2:13" ht="22.5" customHeight="1" hidden="1">
      <c r="B96" s="267" t="s">
        <v>59</v>
      </c>
      <c r="C96" s="268"/>
      <c r="D96" s="79">
        <v>0</v>
      </c>
      <c r="E96" s="50" t="s">
        <v>24</v>
      </c>
      <c r="F96" s="67"/>
      <c r="G96" s="264"/>
      <c r="H96" s="26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9"/>
      <c r="P98" s="26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2017-02-23T09:04:46Z</cp:lastPrinted>
  <dcterms:created xsi:type="dcterms:W3CDTF">2003-07-28T11:27:56Z</dcterms:created>
  <dcterms:modified xsi:type="dcterms:W3CDTF">2017-02-24T09:34:15Z</dcterms:modified>
  <cp:category/>
  <cp:version/>
  <cp:contentType/>
  <cp:contentStatus/>
</cp:coreProperties>
</file>